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O_1.5.2 ОЛЯ\"/>
    </mc:Choice>
  </mc:AlternateContent>
  <xr:revisionPtr revIDLastSave="0" documentId="13_ncr:1_{CAF2C07B-DE31-4E28-983E-9A836A0E2220}" xr6:coauthVersionLast="47" xr6:coauthVersionMax="47" xr10:uidLastSave="{00000000-0000-0000-0000-000000000000}"/>
  <bookViews>
    <workbookView xWindow="-120" yWindow="-120" windowWidth="29040" windowHeight="15840" tabRatio="808" activeTab="1" xr2:uid="{00000000-000D-0000-FFFF-FFFF00000000}"/>
  </bookViews>
  <sheets>
    <sheet name="Сводка затрат" sheetId="113" r:id="rId1"/>
    <sheet name="Цена МАТ и ОБ по ТКП" sheetId="115" r:id="rId2"/>
  </sheets>
  <externalReferences>
    <externalReference r:id="rId3"/>
    <externalReference r:id="rId4"/>
  </externalReferences>
  <definedNames>
    <definedName name="Здания_КРУЭ__ЗРУ__укомплектованных_оборудованием">[1]Таблица!$B$694:$B$697</definedName>
    <definedName name="_xlnm.Print_Area" localSheetId="0">'Сводка затрат'!$A$1:$M$41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15" l="1"/>
  <c r="D4" i="115"/>
  <c r="J19" i="113" l="1"/>
  <c r="J18" i="113"/>
  <c r="J17" i="113"/>
  <c r="J16" i="113"/>
  <c r="J15" i="113"/>
  <c r="G5" i="115" l="1"/>
  <c r="J23" i="113" l="1"/>
  <c r="J22" i="113"/>
  <c r="K15" i="113" l="1"/>
  <c r="L15" i="113" s="1"/>
  <c r="H15" i="113"/>
  <c r="I15" i="113"/>
  <c r="H16" i="113"/>
  <c r="J24" i="113"/>
  <c r="J26" i="113"/>
  <c r="J25" i="113"/>
  <c r="G4" i="115" l="1"/>
  <c r="G6" i="115" s="1"/>
  <c r="J5" i="113" l="1"/>
  <c r="C20" i="113"/>
  <c r="C22" i="113"/>
  <c r="C25" i="113" s="1"/>
  <c r="L5" i="113"/>
  <c r="C24" i="113" l="1"/>
  <c r="I26" i="113"/>
  <c r="I18" i="113"/>
  <c r="I17" i="113"/>
  <c r="I24" i="113"/>
  <c r="I16" i="113"/>
  <c r="I22" i="113"/>
  <c r="K26" i="113"/>
  <c r="H26" i="113"/>
  <c r="K23" i="113"/>
  <c r="H23" i="113"/>
  <c r="K22" i="113"/>
  <c r="H22" i="113"/>
  <c r="L22" i="113" s="1"/>
  <c r="K19" i="113"/>
  <c r="H19" i="113"/>
  <c r="K18" i="113"/>
  <c r="H18" i="113"/>
  <c r="L18" i="113" s="1"/>
  <c r="H17" i="113"/>
  <c r="K16" i="113"/>
  <c r="K13" i="113"/>
  <c r="H13" i="113"/>
  <c r="L12" i="113"/>
  <c r="K25" i="113"/>
  <c r="H25" i="113"/>
  <c r="K17" i="113"/>
  <c r="J13" i="113"/>
  <c r="H24" i="113"/>
  <c r="L9" i="113"/>
  <c r="L8" i="113"/>
  <c r="I6" i="113"/>
  <c r="K6" i="113"/>
  <c r="J6" i="113"/>
  <c r="H6" i="113"/>
  <c r="L19" i="113" l="1"/>
  <c r="L17" i="113"/>
  <c r="L16" i="113"/>
  <c r="H20" i="113"/>
  <c r="H29" i="113" s="1"/>
  <c r="H27" i="113"/>
  <c r="H30" i="113" s="1"/>
  <c r="I19" i="113"/>
  <c r="I23" i="113"/>
  <c r="L23" i="113" s="1"/>
  <c r="L26" i="113"/>
  <c r="I20" i="113"/>
  <c r="I29" i="113" s="1"/>
  <c r="L6" i="113"/>
  <c r="K20" i="113"/>
  <c r="K29" i="113" s="1"/>
  <c r="I25" i="113"/>
  <c r="L10" i="113"/>
  <c r="I13" i="113"/>
  <c r="J20" i="113"/>
  <c r="J29" i="113" s="1"/>
  <c r="K24" i="113"/>
  <c r="K27" i="113" s="1"/>
  <c r="K30" i="113" s="1"/>
  <c r="L11" i="113"/>
  <c r="L13" i="113" l="1"/>
  <c r="L25" i="113"/>
  <c r="L20" i="113"/>
  <c r="L29" i="113" s="1"/>
  <c r="J27" i="113"/>
  <c r="J30" i="113" s="1"/>
  <c r="I27" i="113"/>
  <c r="I30" i="113" s="1"/>
  <c r="L24" i="113"/>
  <c r="L27" i="113" s="1"/>
  <c r="L30" i="113" l="1"/>
  <c r="C26" i="113" s="1"/>
  <c r="C6" i="113" l="1"/>
</calcChain>
</file>

<file path=xl/sharedStrings.xml><?xml version="1.0" encoding="utf-8"?>
<sst xmlns="http://schemas.openxmlformats.org/spreadsheetml/2006/main" count="108" uniqueCount="85">
  <si>
    <t>№ п/п</t>
  </si>
  <si>
    <t>(наименование стройки)</t>
  </si>
  <si>
    <t>Заказчик</t>
  </si>
  <si>
    <t xml:space="preserve">  НДС (20%)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</si>
  <si>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</si>
  <si>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</si>
  <si>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</si>
  <si>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</si>
  <si>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</si>
  <si>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</si>
  <si>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</si>
  <si>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</si>
  <si>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Индекс-дефлятор МЭР</t>
  </si>
  <si>
    <t>Наименование</t>
  </si>
  <si>
    <t>ед. изм.</t>
  </si>
  <si>
    <t>Кол-во</t>
  </si>
  <si>
    <t>Технические характеристики</t>
  </si>
  <si>
    <t>Источник ценовой информации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</si>
  <si>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</si>
  <si>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</si>
  <si>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</si>
  <si>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</si>
  <si>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</si>
  <si>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</si>
  <si>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</si>
  <si>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</si>
  <si>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</si>
  <si>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</si>
  <si>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</si>
  <si>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</si>
  <si>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</si>
  <si>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</si>
  <si>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</si>
  <si>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5.1</t>
  </si>
  <si>
    <t>5.2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</si>
  <si>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</si>
  <si>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</si>
  <si>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</si>
  <si>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</si>
  <si>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Сметная стоимость всего:</t>
  </si>
  <si>
    <t xml:space="preserve">Итого </t>
  </si>
  <si>
    <t>Стоимость объекта в ценах года финансирования работ (с НДС)</t>
  </si>
  <si>
    <t>Итого, сметная стоимость в прогнозном уровне цен с НДС</t>
  </si>
  <si>
    <t>Итого (без НДС)</t>
  </si>
  <si>
    <t>Итого (с НДС)</t>
  </si>
  <si>
    <t>Стоимость выполнения работ в ценах 2029 года</t>
  </si>
  <si>
    <t>Разбивка стоимость в текущих ценах (без НДС)</t>
  </si>
  <si>
    <t>Стоимость объекта в ценах года финансирования работ (без НДС)</t>
  </si>
  <si>
    <t>в ценах 4 кв. 2024г.</t>
  </si>
  <si>
    <t>ИТОГО, тыс. руб. без НДС</t>
  </si>
  <si>
    <t>цена за ед. тыс. руб. без НДС</t>
  </si>
  <si>
    <t>Напряжение</t>
  </si>
  <si>
    <t>О_1.5.2 Программное обеспечение и орг.техника в количестве 58 шт. (сервер - 16 шт., многофункциональные устройства - 41 шт., ИБП - 1 шт.), внедрение и развитие программного комплекса САБПЭК(+модули)</t>
  </si>
  <si>
    <t>Сервер - 16 шт., многофункциональные устройства - 41 шт., ИБП - 1 шт.</t>
  </si>
  <si>
    <t>Внедрение и развитие программного комплекса САБПЭК(+модули)</t>
  </si>
  <si>
    <t>Раздел 2.</t>
  </si>
  <si>
    <t>Раздел 3.</t>
  </si>
  <si>
    <t>Раздел 4.</t>
  </si>
  <si>
    <t>Оценка полной стоимости инвестиционного проекта в прогнозных ценах соответствующих лет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</si>
  <si>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</si>
  <si>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</si>
  <si>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</si>
  <si>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</si>
  <si>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</si>
  <si>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</si>
  <si>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</si>
  <si>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</si>
  <si>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</si>
  <si>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</si>
  <si>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</si>
  <si>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</si>
  <si>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</si>
  <si>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</si>
  <si>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</si>
  <si>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</si>
  <si>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</si>
  <si>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</si>
  <si>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Раздел 5</t>
  </si>
  <si>
    <t>ИТОГО</t>
  </si>
  <si>
    <t>4 кв. 2024 г.</t>
  </si>
  <si>
    <t>АО "БЭСК"</t>
  </si>
  <si>
    <t>комплект</t>
  </si>
  <si>
    <t>комплекс</t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</si>
  <si>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>2029г</t>
    </r>
    <r>
      <rPr>
        <sz val="11"/>
        <rFont val="Times New Roman"/>
        <family val="1"/>
        <charset val="204"/>
      </rPr>
      <t xml:space="preserve"> с НДС (тыс. руб.)</t>
    </r>
  </si>
  <si>
    <t>конъюнктурный анализ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</si>
</sst>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_р_._-;\-* #,##0.00_р_._-;_-* &quot;-&quot;??_р_._-;_-@_-"/>
    <numFmt numFmtId="167" formatCode="#,##0.000"/>
    <numFmt numFmtId="168" formatCode="0.000000"/>
    <numFmt numFmtId="169" formatCode="0.00000"/>
    <numFmt numFmtId="170" formatCode="_-* #,##0_-;\-* #,##0_-;_-* &quot;-&quot;??_-;_-@_-"/>
    <numFmt numFmtId="171" formatCode="#,##0.0"/>
    <numFmt numFmtId="172" formatCode="#,##0.0000000"/>
    <numFmt numFmtId="173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i/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8" fillId="0" borderId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horizontal="center"/>
    </xf>
    <xf numFmtId="0" fontId="9" fillId="0" borderId="3" applyBorder="0" applyAlignment="0">
      <alignment horizontal="center" wrapText="1"/>
    </xf>
    <xf numFmtId="0" fontId="7" fillId="0" borderId="0">
      <alignment horizontal="left" vertical="top"/>
    </xf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7" fillId="0" borderId="0">
      <alignment horizontal="right" vertical="top" wrapText="1"/>
    </xf>
    <xf numFmtId="0" fontId="7" fillId="0" borderId="3">
      <alignment horizontal="center" wrapText="1"/>
    </xf>
    <xf numFmtId="0" fontId="12" fillId="0" borderId="0"/>
    <xf numFmtId="0" fontId="13" fillId="0" borderId="0"/>
    <xf numFmtId="0" fontId="2" fillId="0" borderId="0"/>
  </cellStyleXfs>
  <cellXfs count="85">
    <xf numFmtId="0" fontId="0" fillId="0" borderId="0" xfId="0"/>
    <xf numFmtId="0" fontId="1" fillId="0" borderId="0" xfId="1"/>
    <xf numFmtId="0" fontId="0" fillId="0" borderId="0" xfId="0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0" fillId="0" borderId="3" xfId="24" applyFont="1" applyBorder="1" applyAlignment="1">
      <alignment horizontal="center" vertical="center" wrapText="1"/>
    </xf>
    <xf numFmtId="0" fontId="10" fillId="0" borderId="3" xfId="25" applyFont="1" applyBorder="1" applyAlignment="1">
      <alignment horizontal="center" wrapText="1"/>
    </xf>
    <xf numFmtId="49" fontId="11" fillId="3" borderId="3" xfId="24" applyNumberFormat="1" applyFont="1" applyFill="1" applyBorder="1" applyAlignment="1">
      <alignment horizontal="center" vertical="center" wrapText="1"/>
    </xf>
    <xf numFmtId="4" fontId="11" fillId="3" borderId="3" xfId="24" applyNumberFormat="1" applyFont="1" applyFill="1" applyBorder="1" applyAlignment="1">
      <alignment horizontal="right" vertical="center" wrapText="1"/>
    </xf>
    <xf numFmtId="49" fontId="10" fillId="0" borderId="3" xfId="24" applyNumberFormat="1" applyFont="1" applyBorder="1" applyAlignment="1">
      <alignment horizontal="center" vertical="center" wrapText="1"/>
    </xf>
    <xf numFmtId="4" fontId="10" fillId="0" borderId="3" xfId="24" applyNumberFormat="1" applyFont="1" applyBorder="1" applyAlignment="1">
      <alignment horizontal="right" vertical="center" wrapText="1"/>
    </xf>
    <xf numFmtId="4" fontId="10" fillId="0" borderId="3" xfId="24" applyNumberFormat="1" applyFont="1" applyBorder="1" applyAlignment="1">
      <alignment horizontal="center" vertical="center" wrapText="1"/>
    </xf>
    <xf numFmtId="4" fontId="11" fillId="3" borderId="3" xfId="24" applyNumberFormat="1" applyFont="1" applyFill="1" applyBorder="1" applyAlignment="1">
      <alignment horizontal="center" vertical="center" wrapText="1"/>
    </xf>
    <xf numFmtId="168" fontId="1" fillId="0" borderId="0" xfId="1" applyNumberFormat="1"/>
    <xf numFmtId="169" fontId="1" fillId="0" borderId="0" xfId="1" applyNumberFormat="1"/>
    <xf numFmtId="2" fontId="3" fillId="0" borderId="0" xfId="29" applyNumberFormat="1" applyFont="1" applyAlignment="1">
      <alignment horizontal="center" vertical="center"/>
    </xf>
    <xf numFmtId="170" fontId="1" fillId="0" borderId="0" xfId="3" applyNumberFormat="1" applyFont="1" applyFill="1"/>
    <xf numFmtId="4" fontId="1" fillId="0" borderId="0" xfId="1" applyNumberFormat="1"/>
    <xf numFmtId="167" fontId="10" fillId="0" borderId="3" xfId="24" applyNumberFormat="1" applyFont="1" applyBorder="1" applyAlignment="1">
      <alignment horizontal="right" vertical="center" wrapText="1"/>
    </xf>
    <xf numFmtId="4" fontId="14" fillId="0" borderId="3" xfId="24" applyNumberFormat="1" applyFont="1" applyBorder="1" applyAlignment="1">
      <alignment horizontal="right" vertical="center" wrapText="1"/>
    </xf>
    <xf numFmtId="171" fontId="10" fillId="0" borderId="3" xfId="24" applyNumberFormat="1" applyFont="1" applyBorder="1" applyAlignment="1">
      <alignment horizontal="center" vertical="center" wrapText="1"/>
    </xf>
    <xf numFmtId="172" fontId="10" fillId="0" borderId="3" xfId="24" applyNumberFormat="1" applyFont="1" applyBorder="1" applyAlignment="1">
      <alignment horizontal="center" vertical="center" wrapText="1"/>
    </xf>
    <xf numFmtId="49" fontId="10" fillId="4" borderId="3" xfId="24" applyNumberFormat="1" applyFont="1" applyFill="1" applyBorder="1" applyAlignment="1">
      <alignment horizontal="center" vertical="center" wrapText="1"/>
    </xf>
    <xf numFmtId="4" fontId="10" fillId="4" borderId="3" xfId="24" applyNumberFormat="1" applyFont="1" applyFill="1" applyBorder="1" applyAlignment="1">
      <alignment horizontal="right" vertical="center" wrapText="1"/>
    </xf>
    <xf numFmtId="0" fontId="15" fillId="0" borderId="0" xfId="0" applyFont="1"/>
    <xf numFmtId="0" fontId="5" fillId="0" borderId="6" xfId="0" applyFont="1" applyBorder="1" applyAlignment="1">
      <alignment horizontal="center" vertical="center" wrapText="1"/>
    </xf>
    <xf numFmtId="167" fontId="10" fillId="4" borderId="3" xfId="24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16" fillId="0" borderId="0" xfId="0" applyFont="1"/>
    <xf numFmtId="0" fontId="5" fillId="0" borderId="0" xfId="0" applyFont="1"/>
    <xf numFmtId="49" fontId="17" fillId="0" borderId="3" xfId="0" applyNumberFormat="1" applyFont="1" applyBorder="1" applyAlignment="1">
      <alignment vertical="top" wrapText="1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 vertical="center"/>
    </xf>
    <xf numFmtId="0" fontId="5" fillId="0" borderId="3" xfId="0" applyFont="1" applyBorder="1"/>
    <xf numFmtId="4" fontId="5" fillId="0" borderId="3" xfId="0" applyNumberFormat="1" applyFont="1" applyBorder="1" applyAlignment="1">
      <alignment horizontal="center"/>
    </xf>
    <xf numFmtId="167" fontId="14" fillId="0" borderId="3" xfId="24" applyNumberFormat="1" applyFont="1" applyBorder="1" applyAlignment="1">
      <alignment horizontal="center" vertical="center" wrapText="1"/>
    </xf>
    <xf numFmtId="173" fontId="10" fillId="0" borderId="3" xfId="0" applyNumberFormat="1" applyFont="1" applyBorder="1" applyAlignment="1">
      <alignment horizontal="center" vertical="center" wrapText="1"/>
    </xf>
    <xf numFmtId="4" fontId="14" fillId="2" borderId="3" xfId="24" applyNumberFormat="1" applyFont="1" applyFill="1" applyBorder="1" applyAlignment="1">
      <alignment horizontal="right" vertical="center" wrapText="1"/>
    </xf>
    <xf numFmtId="0" fontId="10" fillId="0" borderId="0" xfId="1" applyFont="1"/>
    <xf numFmtId="0" fontId="10" fillId="0" borderId="1" xfId="2" applyFont="1" applyBorder="1" applyAlignment="1">
      <alignment horizontal="center" vertical="center" wrapText="1"/>
    </xf>
    <xf numFmtId="0" fontId="11" fillId="0" borderId="0" xfId="2" applyFont="1" applyAlignment="1">
      <alignment horizontal="right" vertical="top"/>
    </xf>
    <xf numFmtId="0" fontId="10" fillId="0" borderId="0" xfId="2" applyFont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18" fillId="0" borderId="0" xfId="2" applyFont="1" applyAlignment="1">
      <alignment horizontal="center" vertical="center"/>
    </xf>
    <xf numFmtId="0" fontId="10" fillId="0" borderId="0" xfId="2" applyFont="1" applyAlignment="1">
      <alignment horizontal="left" vertical="center" wrapText="1"/>
    </xf>
    <xf numFmtId="164" fontId="10" fillId="0" borderId="0" xfId="2" applyNumberFormat="1" applyFont="1" applyAlignment="1">
      <alignment horizontal="left" vertical="center"/>
    </xf>
    <xf numFmtId="0" fontId="19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0" fontId="10" fillId="0" borderId="1" xfId="2" applyFont="1" applyBorder="1" applyAlignment="1">
      <alignment horizontal="left" vertical="center" wrapText="1"/>
    </xf>
    <xf numFmtId="165" fontId="10" fillId="0" borderId="1" xfId="3" applyNumberFormat="1" applyFont="1" applyFill="1" applyBorder="1" applyAlignment="1">
      <alignment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10" fillId="0" borderId="4" xfId="24" applyFont="1" applyBorder="1" applyAlignment="1">
      <alignment horizontal="center" vertical="center" wrapText="1"/>
    </xf>
    <xf numFmtId="0" fontId="10" fillId="0" borderId="9" xfId="24" applyFont="1" applyBorder="1" applyAlignment="1">
      <alignment horizontal="center" vertical="center" wrapText="1"/>
    </xf>
    <xf numFmtId="0" fontId="10" fillId="0" borderId="5" xfId="24" applyFont="1" applyBorder="1" applyAlignment="1">
      <alignment horizontal="center" vertical="center" wrapText="1"/>
    </xf>
    <xf numFmtId="0" fontId="10" fillId="0" borderId="6" xfId="24" applyFont="1" applyBorder="1" applyAlignment="1">
      <alignment horizontal="center" vertical="center" wrapText="1"/>
    </xf>
    <xf numFmtId="0" fontId="10" fillId="0" borderId="10" xfId="24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10" fillId="0" borderId="3" xfId="24" applyFont="1" applyBorder="1" applyAlignment="1">
      <alignment horizontal="left" vertical="center" wrapText="1"/>
    </xf>
    <xf numFmtId="0" fontId="10" fillId="0" borderId="4" xfId="25" applyFont="1" applyBorder="1" applyAlignment="1">
      <alignment horizontal="center" wrapText="1"/>
    </xf>
    <xf numFmtId="0" fontId="10" fillId="0" borderId="5" xfId="25" applyFont="1" applyBorder="1" applyAlignment="1">
      <alignment horizontal="center" wrapText="1"/>
    </xf>
    <xf numFmtId="0" fontId="11" fillId="3" borderId="4" xfId="24" applyFont="1" applyFill="1" applyBorder="1" applyAlignment="1">
      <alignment horizontal="left" vertical="center" wrapText="1"/>
    </xf>
    <xf numFmtId="0" fontId="11" fillId="3" borderId="9" xfId="24" applyFont="1" applyFill="1" applyBorder="1" applyAlignment="1">
      <alignment horizontal="left" vertical="center" wrapText="1"/>
    </xf>
    <xf numFmtId="0" fontId="11" fillId="3" borderId="5" xfId="24" applyFont="1" applyFill="1" applyBorder="1" applyAlignment="1">
      <alignment horizontal="left" vertical="center" wrapText="1"/>
    </xf>
    <xf numFmtId="0" fontId="10" fillId="0" borderId="4" xfId="24" applyFont="1" applyBorder="1" applyAlignment="1">
      <alignment horizontal="left" vertical="center" wrapText="1"/>
    </xf>
    <xf numFmtId="0" fontId="10" fillId="0" borderId="5" xfId="24" applyFont="1" applyBorder="1" applyAlignment="1">
      <alignment horizontal="left" vertical="center" wrapText="1"/>
    </xf>
    <xf numFmtId="0" fontId="11" fillId="0" borderId="0" xfId="2" applyFont="1" applyAlignment="1">
      <alignment horizontal="center" vertical="center"/>
    </xf>
    <xf numFmtId="0" fontId="14" fillId="0" borderId="4" xfId="24" applyFont="1" applyBorder="1" applyAlignment="1">
      <alignment horizontal="left" vertical="center" wrapText="1"/>
    </xf>
    <xf numFmtId="0" fontId="14" fillId="0" borderId="5" xfId="24" applyFont="1" applyBorder="1" applyAlignment="1">
      <alignment horizontal="left" vertical="center" wrapText="1"/>
    </xf>
    <xf numFmtId="49" fontId="10" fillId="0" borderId="7" xfId="24" applyNumberFormat="1" applyFont="1" applyBorder="1" applyAlignment="1">
      <alignment horizontal="center" vertical="center" wrapText="1"/>
    </xf>
    <xf numFmtId="49" fontId="10" fillId="0" borderId="8" xfId="24" applyNumberFormat="1" applyFont="1" applyBorder="1" applyAlignment="1">
      <alignment horizontal="center" vertical="center" wrapText="1"/>
    </xf>
    <xf numFmtId="49" fontId="10" fillId="0" borderId="11" xfId="24" applyNumberFormat="1" applyFont="1" applyBorder="1" applyAlignment="1">
      <alignment horizontal="center" vertical="center" wrapText="1"/>
    </xf>
    <xf numFmtId="49" fontId="10" fillId="0" borderId="12" xfId="24" applyNumberFormat="1" applyFont="1" applyBorder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0" fontId="10" fillId="4" borderId="3" xfId="24" applyFont="1" applyFill="1" applyBorder="1" applyAlignment="1">
      <alignment horizontal="left" vertical="center" wrapText="1"/>
    </xf>
    <xf numFmtId="0" fontId="14" fillId="0" borderId="3" xfId="24" applyFont="1" applyBorder="1" applyAlignment="1">
      <alignment horizontal="left" vertical="center" wrapText="1"/>
    </xf>
    <xf numFmtId="0" fontId="11" fillId="3" borderId="3" xfId="24" applyFont="1" applyFill="1" applyBorder="1" applyAlignment="1">
      <alignment horizontal="left" vertical="center" wrapText="1"/>
    </xf>
    <xf numFmtId="4" fontId="10" fillId="3" borderId="3" xfId="24" applyNumberFormat="1" applyFont="1" applyFill="1" applyBorder="1" applyAlignment="1">
      <alignment horizontal="right" vertical="center" wrapText="1"/>
    </xf>
    <xf numFmtId="172" fontId="10" fillId="3" borderId="3" xfId="24" applyNumberFormat="1" applyFont="1" applyFill="1" applyBorder="1" applyAlignment="1">
      <alignment horizontal="center" vertical="center" wrapText="1"/>
    </xf>
    <xf numFmtId="167" fontId="10" fillId="2" borderId="3" xfId="24" applyNumberFormat="1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7" fillId="0" borderId="3" xfId="3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/>
    </xf>
  </cellXfs>
  <cellStyles count="31">
    <cellStyle name="Normal" xfId="2" xr:uid="{00000000-0005-0000-0000-000000000000}"/>
    <cellStyle name="Итоги" xfId="26" xr:uid="{00000000-0005-0000-0000-000001000000}"/>
    <cellStyle name="ЛокСмета" xfId="27" xr:uid="{00000000-0005-0000-0000-000002000000}"/>
    <cellStyle name="Обычный" xfId="0" builtinId="0"/>
    <cellStyle name="Обычный 12" xfId="6" xr:uid="{00000000-0005-0000-0000-000004000000}"/>
    <cellStyle name="Обычный 14" xfId="4" xr:uid="{00000000-0005-0000-0000-000005000000}"/>
    <cellStyle name="Обычный 2" xfId="1" xr:uid="{00000000-0005-0000-0000-000006000000}"/>
    <cellStyle name="Обычный 2 2" xfId="7" xr:uid="{00000000-0005-0000-0000-000007000000}"/>
    <cellStyle name="Обычный 2 2 2" xfId="11" xr:uid="{00000000-0005-0000-0000-000008000000}"/>
    <cellStyle name="Обычный 2 2 2 2" xfId="24" xr:uid="{00000000-0005-0000-0000-000009000000}"/>
    <cellStyle name="Обычный 2 2 3" xfId="23" xr:uid="{00000000-0005-0000-0000-00000A000000}"/>
    <cellStyle name="Обычный 2 3" xfId="12" xr:uid="{00000000-0005-0000-0000-00000B000000}"/>
    <cellStyle name="Обычный 2 4" xfId="21" xr:uid="{00000000-0005-0000-0000-00000C000000}"/>
    <cellStyle name="Обычный 3" xfId="5" xr:uid="{00000000-0005-0000-0000-00000D000000}"/>
    <cellStyle name="Обычный 3 2" xfId="30" xr:uid="{35B02CA8-45F0-4928-A079-30621AE68D19}"/>
    <cellStyle name="Обычный 3 4" xfId="17" xr:uid="{00000000-0005-0000-0000-00000E000000}"/>
    <cellStyle name="Обычный 4" xfId="28" xr:uid="{00000000-0005-0000-0000-00000F000000}"/>
    <cellStyle name="Обычный 6" xfId="13" xr:uid="{00000000-0005-0000-0000-000010000000}"/>
    <cellStyle name="Обычный 7" xfId="29" xr:uid="{00000000-0005-0000-0000-000011000000}"/>
    <cellStyle name="Обычный 7 2 2" xfId="14" xr:uid="{00000000-0005-0000-0000-000012000000}"/>
    <cellStyle name="Обычный 7 2 2 3" xfId="15" xr:uid="{00000000-0005-0000-0000-000013000000}"/>
    <cellStyle name="Обычный 7 2 2 3 2" xfId="16" xr:uid="{00000000-0005-0000-0000-000014000000}"/>
    <cellStyle name="ПИР" xfId="19" xr:uid="{00000000-0005-0000-0000-000015000000}"/>
    <cellStyle name="Процентный 2" xfId="10" xr:uid="{00000000-0005-0000-0000-000016000000}"/>
    <cellStyle name="СводРасч" xfId="25" xr:uid="{00000000-0005-0000-0000-000017000000}"/>
    <cellStyle name="Титул" xfId="18" xr:uid="{00000000-0005-0000-0000-000018000000}"/>
    <cellStyle name="Финансовый" xfId="3" builtinId="3"/>
    <cellStyle name="Финансовый 2" xfId="8" xr:uid="{00000000-0005-0000-0000-00001A000000}"/>
    <cellStyle name="Финансовый 2 2" xfId="9" xr:uid="{00000000-0005-0000-0000-00001B000000}"/>
    <cellStyle name="Финансовый 3" xfId="22" xr:uid="{00000000-0005-0000-0000-00001C000000}"/>
    <cellStyle name="Хвост" xfId="20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ankovdv\AppData\Local\Microsoft\Windows\INetCache\Content.Outlook\GT7SKLYG\H_prj_107000_51097%20(&#1057;&#104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ка затрат"/>
      <sheetName val="исходные данные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7"/>
  <sheetViews>
    <sheetView showOutlineSymbols="0" showWhiteSpace="0" topLeftCell="A7" zoomScale="80" zoomScaleNormal="80" zoomScaleSheetLayoutView="100" workbookViewId="0">
      <selection activeCell="B14" sqref="B14:C14"/>
    </sheetView>
  </sheetViews>
  <sheetFormatPr defaultColWidth="8.85546875" defaultRowHeight="15" outlineLevelCol="6" x14ac:dyDescent="0.25"/>
  <cols>
    <col min="1" max="1" width="5.5703125" style="40" bestFit="1" customWidth="1"/>
    <col min="2" max="2" width="36.7109375" style="40" bestFit="1" customWidth="1"/>
    <col min="3" max="3" width="42.140625" style="40" customWidth="1"/>
    <col min="4" max="4" width="7.42578125" style="40" customWidth="1" outlineLevel="6"/>
    <col min="5" max="7" width="24.7109375" style="40" customWidth="1"/>
    <col min="8" max="8" width="17.7109375" style="40" customWidth="1"/>
    <col min="9" max="9" width="14.5703125" style="40" customWidth="1"/>
    <col min="10" max="10" width="14.85546875" style="40" customWidth="1"/>
    <col min="11" max="11" width="11.140625" style="40" customWidth="1"/>
    <col min="12" max="12" width="15.42578125" style="40" customWidth="1"/>
    <col min="13" max="13" width="11.42578125" style="40" customWidth="1"/>
    <col min="14" max="14" width="18.7109375" style="1" customWidth="1"/>
    <col min="15" max="15" width="11.5703125" style="1" hidden="1" customWidth="1"/>
    <col min="16" max="16" width="15.140625" style="1" customWidth="1"/>
    <col min="17" max="16384" width="8.85546875" style="1"/>
  </cols>
  <sheetData>
    <row r="1" spans="1:13" x14ac:dyDescent="0.25">
      <c r="A1" s="42"/>
      <c r="B1" s="42"/>
      <c r="C1" s="42"/>
      <c r="E1" s="56" t="s">
        <v>18</v>
      </c>
      <c r="F1" s="70" t="s">
        <v>19</v>
      </c>
      <c r="G1" s="71"/>
      <c r="H1" s="53" t="s">
        <v>20</v>
      </c>
      <c r="I1" s="54"/>
      <c r="J1" s="54"/>
      <c r="K1" s="55"/>
      <c r="L1" s="56" t="s">
        <v>21</v>
      </c>
      <c r="M1" s="56" t="s">
        <v>12</v>
      </c>
    </row>
    <row r="2" spans="1:13" ht="52.5" customHeight="1" x14ac:dyDescent="0.25">
      <c r="A2" s="43"/>
      <c r="B2" s="43" t="s">
        <v>2</v>
      </c>
      <c r="C2" s="44" t="s">
        <v>80</v>
      </c>
      <c r="E2" s="57"/>
      <c r="F2" s="72"/>
      <c r="G2" s="73"/>
      <c r="H2" s="5" t="s">
        <v>22</v>
      </c>
      <c r="I2" s="5" t="s">
        <v>23</v>
      </c>
      <c r="J2" s="5" t="s">
        <v>24</v>
      </c>
      <c r="K2" s="5" t="s">
        <v>25</v>
      </c>
      <c r="L2" s="57"/>
      <c r="M2" s="57"/>
    </row>
    <row r="3" spans="1:13" x14ac:dyDescent="0.25">
      <c r="A3" s="45"/>
      <c r="B3" s="45"/>
      <c r="C3" s="45"/>
      <c r="E3" s="6">
        <v>1</v>
      </c>
      <c r="F3" s="60">
        <v>2</v>
      </c>
      <c r="G3" s="61"/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</row>
    <row r="4" spans="1:13" x14ac:dyDescent="0.25">
      <c r="A4" s="43"/>
      <c r="B4" s="43"/>
      <c r="C4" s="43"/>
      <c r="E4" s="7" t="s">
        <v>26</v>
      </c>
      <c r="F4" s="62" t="s">
        <v>27</v>
      </c>
      <c r="G4" s="64"/>
      <c r="H4" s="8"/>
      <c r="I4" s="8"/>
      <c r="J4" s="8"/>
      <c r="K4" s="8"/>
      <c r="L4" s="8"/>
      <c r="M4" s="8"/>
    </row>
    <row r="5" spans="1:13" ht="15" customHeight="1" x14ac:dyDescent="0.25">
      <c r="A5" s="43"/>
      <c r="B5" s="43"/>
      <c r="C5" s="43"/>
      <c r="E5" s="9" t="s">
        <v>28</v>
      </c>
      <c r="F5" s="65" t="s">
        <v>29</v>
      </c>
      <c r="G5" s="66"/>
      <c r="H5" s="18">
        <v>0</v>
      </c>
      <c r="I5" s="10">
        <v>0</v>
      </c>
      <c r="J5" s="10">
        <f>'Цена МАТ и ОБ по ТКП'!G6</f>
        <v>48458.428333333301</v>
      </c>
      <c r="K5" s="18">
        <v>0</v>
      </c>
      <c r="L5" s="80">
        <f>SUM(H5:K5)</f>
        <v>48458.428333333301</v>
      </c>
      <c r="M5" s="11" t="s">
        <v>30</v>
      </c>
    </row>
    <row r="6" spans="1:13" ht="33" customHeight="1" x14ac:dyDescent="0.25">
      <c r="A6" s="43"/>
      <c r="B6" s="46" t="s">
        <v>83</v>
      </c>
      <c r="C6" s="47">
        <f>C26</f>
        <v>66402.386201991554</v>
      </c>
      <c r="E6" s="9" t="s">
        <v>31</v>
      </c>
      <c r="F6" s="65" t="s">
        <v>32</v>
      </c>
      <c r="G6" s="66"/>
      <c r="H6" s="10">
        <f>H5*1.2</f>
        <v>0</v>
      </c>
      <c r="I6" s="10">
        <f t="shared" ref="I6:K6" si="0">I5*1.2</f>
        <v>0</v>
      </c>
      <c r="J6" s="10">
        <f t="shared" si="0"/>
        <v>58150.113999999958</v>
      </c>
      <c r="K6" s="10">
        <f t="shared" si="0"/>
        <v>0</v>
      </c>
      <c r="L6" s="80">
        <f>SUM(H6:K6)</f>
        <v>58150.113999999958</v>
      </c>
      <c r="M6" s="11" t="s">
        <v>30</v>
      </c>
    </row>
    <row r="7" spans="1:13" ht="15" customHeight="1" x14ac:dyDescent="0.25">
      <c r="A7" s="43"/>
      <c r="B7" s="43"/>
      <c r="C7" s="43"/>
      <c r="E7" s="7" t="s">
        <v>55</v>
      </c>
      <c r="F7" s="62" t="s">
        <v>46</v>
      </c>
      <c r="G7" s="63"/>
      <c r="H7" s="63"/>
      <c r="I7" s="64"/>
      <c r="J7" s="8"/>
      <c r="K7" s="8"/>
      <c r="L7" s="8"/>
      <c r="M7" s="12"/>
    </row>
    <row r="8" spans="1:13" ht="15" customHeight="1" x14ac:dyDescent="0.25">
      <c r="A8" s="45"/>
      <c r="B8" s="45"/>
      <c r="C8" s="45"/>
      <c r="E8" s="9" t="s">
        <v>59</v>
      </c>
      <c r="F8" s="65" t="s">
        <v>35</v>
      </c>
      <c r="G8" s="66"/>
      <c r="H8" s="10"/>
      <c r="I8" s="10"/>
      <c r="J8" s="10">
        <v>19258.440999999999</v>
      </c>
      <c r="K8" s="10"/>
      <c r="L8" s="38">
        <f>SUM(H8:K8)</f>
        <v>19258.440999999999</v>
      </c>
      <c r="M8" s="11" t="s">
        <v>30</v>
      </c>
    </row>
    <row r="9" spans="1:13" x14ac:dyDescent="0.25">
      <c r="A9" s="43"/>
      <c r="B9" s="43"/>
      <c r="C9" s="43"/>
      <c r="E9" s="9" t="s">
        <v>60</v>
      </c>
      <c r="F9" s="65" t="s">
        <v>36</v>
      </c>
      <c r="G9" s="66"/>
      <c r="H9" s="10"/>
      <c r="I9" s="10"/>
      <c r="J9" s="10">
        <v>13738.093999999999</v>
      </c>
      <c r="K9" s="10"/>
      <c r="L9" s="38">
        <f>SUM(H9:K9)</f>
        <v>13738.093999999999</v>
      </c>
      <c r="M9" s="11" t="s">
        <v>30</v>
      </c>
    </row>
    <row r="10" spans="1:13" ht="15" customHeight="1" x14ac:dyDescent="0.25">
      <c r="A10" s="43"/>
      <c r="B10" s="48" t="s">
        <v>79</v>
      </c>
      <c r="C10" s="43"/>
      <c r="E10" s="9" t="s">
        <v>61</v>
      </c>
      <c r="F10" s="65" t="s">
        <v>37</v>
      </c>
      <c r="G10" s="66"/>
      <c r="H10" s="10"/>
      <c r="I10" s="10"/>
      <c r="J10" s="10">
        <v>6930.0439999999999</v>
      </c>
      <c r="K10" s="10"/>
      <c r="L10" s="38">
        <f t="shared" ref="L10:L12" si="1">SUM(H10:K10)</f>
        <v>6930.0439999999999</v>
      </c>
      <c r="M10" s="11" t="s">
        <v>30</v>
      </c>
    </row>
    <row r="11" spans="1:13" x14ac:dyDescent="0.25">
      <c r="A11" s="43"/>
      <c r="B11" s="43"/>
      <c r="C11" s="43"/>
      <c r="E11" s="9" t="s">
        <v>62</v>
      </c>
      <c r="F11" s="65" t="s">
        <v>38</v>
      </c>
      <c r="G11" s="66"/>
      <c r="H11" s="10"/>
      <c r="I11" s="10"/>
      <c r="J11" s="10">
        <v>4643.2719999999999</v>
      </c>
      <c r="K11" s="10"/>
      <c r="L11" s="38">
        <f t="shared" si="1"/>
        <v>4643.2719999999999</v>
      </c>
      <c r="M11" s="11" t="s">
        <v>30</v>
      </c>
    </row>
    <row r="12" spans="1:13" ht="15.75" customHeight="1" x14ac:dyDescent="0.25">
      <c r="A12" s="49"/>
      <c r="B12" s="67" t="s">
        <v>10</v>
      </c>
      <c r="C12" s="67"/>
      <c r="E12" s="9" t="s">
        <v>63</v>
      </c>
      <c r="F12" s="65" t="s">
        <v>45</v>
      </c>
      <c r="G12" s="66"/>
      <c r="H12" s="10"/>
      <c r="I12" s="10"/>
      <c r="J12" s="10">
        <v>3888.5770000000002</v>
      </c>
      <c r="K12" s="10"/>
      <c r="L12" s="38">
        <f t="shared" si="1"/>
        <v>3888.5770000000002</v>
      </c>
      <c r="M12" s="11" t="s">
        <v>30</v>
      </c>
    </row>
    <row r="13" spans="1:13" x14ac:dyDescent="0.25">
      <c r="A13" s="43"/>
      <c r="B13" s="43"/>
      <c r="C13" s="43"/>
      <c r="E13" s="9" t="s">
        <v>64</v>
      </c>
      <c r="F13" s="68" t="s">
        <v>40</v>
      </c>
      <c r="G13" s="69"/>
      <c r="H13" s="19">
        <f>SUM(H8:H12)</f>
        <v>0</v>
      </c>
      <c r="I13" s="19">
        <f>SUM(I8:I12)</f>
        <v>0</v>
      </c>
      <c r="J13" s="19">
        <f>SUM(J8:J12)</f>
        <v>48458.427999999993</v>
      </c>
      <c r="K13" s="19">
        <f>SUM(K8:K12)</f>
        <v>0</v>
      </c>
      <c r="L13" s="37">
        <f>SUM(L8:L12)</f>
        <v>48458.427999999993</v>
      </c>
      <c r="M13" s="11" t="s">
        <v>30</v>
      </c>
    </row>
    <row r="14" spans="1:13" ht="60.75" customHeight="1" x14ac:dyDescent="0.25">
      <c r="A14" s="43"/>
      <c r="B14" s="81" t="s">
        <v>52</v>
      </c>
      <c r="C14" s="81"/>
      <c r="E14" s="7" t="s">
        <v>56</v>
      </c>
      <c r="F14" s="62" t="s">
        <v>47</v>
      </c>
      <c r="G14" s="63"/>
      <c r="H14" s="63"/>
      <c r="I14" s="63"/>
      <c r="J14" s="64"/>
      <c r="K14" s="8"/>
      <c r="L14" s="8"/>
      <c r="M14" s="12"/>
    </row>
    <row r="15" spans="1:13" ht="15" customHeight="1" x14ac:dyDescent="0.25">
      <c r="A15" s="45"/>
      <c r="B15" s="58" t="s">
        <v>1</v>
      </c>
      <c r="C15" s="58"/>
      <c r="E15" s="9" t="s">
        <v>65</v>
      </c>
      <c r="F15" s="59" t="s">
        <v>35</v>
      </c>
      <c r="G15" s="59"/>
      <c r="H15" s="10">
        <f>H8*$M$15/100*$M$16/100</f>
        <v>0</v>
      </c>
      <c r="I15" s="10">
        <f>I8*$M$15/100*$M$16/100</f>
        <v>0</v>
      </c>
      <c r="J15" s="10">
        <f>J8*M15/100</f>
        <v>20760.599397999998</v>
      </c>
      <c r="K15" s="10">
        <f t="shared" ref="K15:K16" si="2">K8*$M$15/100*$M$16/100</f>
        <v>0</v>
      </c>
      <c r="L15" s="10">
        <f>SUM(H15:K15)</f>
        <v>20760.599397999998</v>
      </c>
      <c r="M15" s="20">
        <v>107.8</v>
      </c>
    </row>
    <row r="16" spans="1:13" ht="15" customHeight="1" x14ac:dyDescent="0.25">
      <c r="A16" s="43"/>
      <c r="B16" s="43"/>
      <c r="C16" s="43"/>
      <c r="E16" s="9" t="s">
        <v>66</v>
      </c>
      <c r="F16" s="59" t="s">
        <v>36</v>
      </c>
      <c r="G16" s="59"/>
      <c r="H16" s="10">
        <f>H9*$M$15/100*$M$16/100</f>
        <v>0</v>
      </c>
      <c r="I16" s="10">
        <f>I9*$M$15/100*$M$16/100</f>
        <v>0</v>
      </c>
      <c r="J16" s="10">
        <f>J9*M15/100*$M$16/100</f>
        <v>15594.577594595998</v>
      </c>
      <c r="K16" s="10">
        <f t="shared" si="2"/>
        <v>0</v>
      </c>
      <c r="L16" s="10">
        <f t="shared" ref="L16:L19" si="3">SUM(H16:K16)</f>
        <v>15594.577594595998</v>
      </c>
      <c r="M16" s="20">
        <v>105.3</v>
      </c>
    </row>
    <row r="17" spans="1:15" ht="15" customHeight="1" x14ac:dyDescent="0.25">
      <c r="A17" s="43"/>
      <c r="B17" s="43"/>
      <c r="C17" s="43"/>
      <c r="E17" s="9" t="s">
        <v>67</v>
      </c>
      <c r="F17" s="59" t="s">
        <v>37</v>
      </c>
      <c r="G17" s="59"/>
      <c r="H17" s="10">
        <f>H10*$M$15/100*$M$16/100*$M$17/100</f>
        <v>0</v>
      </c>
      <c r="I17" s="18">
        <f>I10*$M$15/100*$M$16/100*$M$17/100</f>
        <v>0</v>
      </c>
      <c r="J17" s="10">
        <f>J10*M15/100*M16/100*M17/100</f>
        <v>8212.6558227954229</v>
      </c>
      <c r="K17" s="10">
        <f t="shared" ref="K17" si="4">K10*$M$15/100*$M$16/100*$M$17/100</f>
        <v>0</v>
      </c>
      <c r="L17" s="10">
        <f t="shared" si="3"/>
        <v>8212.6558227954229</v>
      </c>
      <c r="M17" s="20">
        <v>104.4</v>
      </c>
    </row>
    <row r="18" spans="1:15" ht="28.5" customHeight="1" x14ac:dyDescent="0.25">
      <c r="A18" s="41" t="s">
        <v>0</v>
      </c>
      <c r="B18" s="41" t="s">
        <v>9</v>
      </c>
      <c r="C18" s="41" t="s">
        <v>8</v>
      </c>
      <c r="E18" s="9" t="s">
        <v>68</v>
      </c>
      <c r="F18" s="59" t="s">
        <v>38</v>
      </c>
      <c r="G18" s="59"/>
      <c r="H18" s="10">
        <f>H11*$M$15/100*$M$16/100*$M$17/100*$M$18/100</f>
        <v>0</v>
      </c>
      <c r="I18" s="18">
        <f t="shared" ref="I18:K18" si="5">I11*$M$15/100*$M$16/100*$M$17/100*$M$18/100</f>
        <v>0</v>
      </c>
      <c r="J18" s="10">
        <f>J11*M15/100*$M$16/100*$M$17/100*$M$18/100</f>
        <v>5744.7648240095386</v>
      </c>
      <c r="K18" s="10">
        <f t="shared" si="5"/>
        <v>0</v>
      </c>
      <c r="L18" s="10">
        <f t="shared" si="3"/>
        <v>5744.7648240095386</v>
      </c>
      <c r="M18" s="20">
        <v>104.4</v>
      </c>
    </row>
    <row r="19" spans="1:15" ht="15" customHeight="1" x14ac:dyDescent="0.25">
      <c r="A19" s="41">
        <v>1</v>
      </c>
      <c r="B19" s="41">
        <v>2</v>
      </c>
      <c r="C19" s="41">
        <v>3</v>
      </c>
      <c r="E19" s="9" t="s">
        <v>69</v>
      </c>
      <c r="F19" s="59" t="s">
        <v>45</v>
      </c>
      <c r="G19" s="59"/>
      <c r="H19" s="10">
        <f>H12*$M$15/100*$M$16/100*$M$17/100*$M$18/100*$M$19/100</f>
        <v>0</v>
      </c>
      <c r="I19" s="18">
        <f t="shared" ref="I19:K19" si="6">I12*$M$15/100*$M$16/100*$M$17/100*$M$18/100*$M$19/100</f>
        <v>0</v>
      </c>
      <c r="J19" s="10">
        <f>J12*M15/100*$M$16/100*$M$17/100*$M$18/100*$M$19/100</f>
        <v>5022.7241955919999</v>
      </c>
      <c r="K19" s="10">
        <f t="shared" si="6"/>
        <v>0</v>
      </c>
      <c r="L19" s="10">
        <f t="shared" si="3"/>
        <v>5022.7241955919999</v>
      </c>
      <c r="M19" s="20">
        <v>104.4</v>
      </c>
    </row>
    <row r="20" spans="1:15" ht="15" customHeight="1" x14ac:dyDescent="0.25">
      <c r="A20" s="41">
        <v>1</v>
      </c>
      <c r="B20" s="50" t="s">
        <v>7</v>
      </c>
      <c r="C20" s="51">
        <f>'Цена МАТ и ОБ по ТКП'!G6</f>
        <v>48458.428333333301</v>
      </c>
      <c r="E20" s="9" t="s">
        <v>70</v>
      </c>
      <c r="F20" s="76" t="s">
        <v>40</v>
      </c>
      <c r="G20" s="76"/>
      <c r="H20" s="19">
        <f>SUM(H15:H19)</f>
        <v>0</v>
      </c>
      <c r="I20" s="19">
        <f t="shared" ref="I20:K20" si="7">SUM(I15:I19)</f>
        <v>0</v>
      </c>
      <c r="J20" s="19">
        <f t="shared" si="7"/>
        <v>55335.321834992952</v>
      </c>
      <c r="K20" s="19">
        <f t="shared" si="7"/>
        <v>0</v>
      </c>
      <c r="L20" s="39">
        <f>SUM(L15:L19)</f>
        <v>55335.321834992952</v>
      </c>
      <c r="M20" s="21"/>
    </row>
    <row r="21" spans="1:15" ht="15" customHeight="1" x14ac:dyDescent="0.25">
      <c r="A21" s="41">
        <v>1.1000000000000001</v>
      </c>
      <c r="B21" s="50" t="s">
        <v>6</v>
      </c>
      <c r="C21" s="52"/>
      <c r="E21" s="7" t="s">
        <v>57</v>
      </c>
      <c r="F21" s="62" t="s">
        <v>41</v>
      </c>
      <c r="G21" s="63"/>
      <c r="H21" s="63"/>
      <c r="I21" s="63"/>
      <c r="J21" s="64"/>
      <c r="K21" s="78"/>
      <c r="L21" s="78"/>
      <c r="M21" s="79"/>
    </row>
    <row r="22" spans="1:15" ht="15" customHeight="1" x14ac:dyDescent="0.25">
      <c r="A22" s="41">
        <v>1.2</v>
      </c>
      <c r="B22" s="50" t="s">
        <v>5</v>
      </c>
      <c r="C22" s="51">
        <f>'Цена МАТ и ОБ по ТКП'!G6</f>
        <v>48458.428333333301</v>
      </c>
      <c r="E22" s="9" t="s">
        <v>71</v>
      </c>
      <c r="F22" s="59" t="s">
        <v>35</v>
      </c>
      <c r="G22" s="59"/>
      <c r="H22" s="10">
        <f>H8*$M$22/100*1.2</f>
        <v>0</v>
      </c>
      <c r="I22" s="10">
        <f t="shared" ref="I22:K22" si="8">I8*$M$22/100*1.2</f>
        <v>0</v>
      </c>
      <c r="J22" s="10">
        <f>J15*1.2</f>
        <v>24912.719277599997</v>
      </c>
      <c r="K22" s="10">
        <f t="shared" si="8"/>
        <v>0</v>
      </c>
      <c r="L22" s="10">
        <f>SUM(H22:K22)</f>
        <v>24912.719277599997</v>
      </c>
      <c r="M22" s="20">
        <v>107.8</v>
      </c>
    </row>
    <row r="23" spans="1:15" ht="15" customHeight="1" x14ac:dyDescent="0.25">
      <c r="A23" s="41">
        <v>1.3</v>
      </c>
      <c r="B23" s="50" t="s">
        <v>4</v>
      </c>
      <c r="C23" s="51"/>
      <c r="E23" s="9" t="s">
        <v>72</v>
      </c>
      <c r="F23" s="59" t="s">
        <v>36</v>
      </c>
      <c r="G23" s="59"/>
      <c r="H23" s="10">
        <f>H9*$M$22/100*$M$23/100*1.2</f>
        <v>0</v>
      </c>
      <c r="I23" s="10">
        <f t="shared" ref="I23:K23" si="9">I9*$M$22/100*$M$23/100*1.2</f>
        <v>0</v>
      </c>
      <c r="J23" s="10">
        <f t="shared" ref="J23:J26" si="10">J16*1.2</f>
        <v>18713.493113515196</v>
      </c>
      <c r="K23" s="10">
        <f t="shared" si="9"/>
        <v>0</v>
      </c>
      <c r="L23" s="10">
        <f t="shared" ref="L23:L26" si="11">SUM(H23:K23)</f>
        <v>18713.493113515196</v>
      </c>
      <c r="M23" s="20">
        <v>105.3</v>
      </c>
    </row>
    <row r="24" spans="1:15" ht="15" customHeight="1" x14ac:dyDescent="0.25">
      <c r="A24" s="41">
        <v>2</v>
      </c>
      <c r="B24" s="50" t="s">
        <v>39</v>
      </c>
      <c r="C24" s="51">
        <f>C22*1.2</f>
        <v>58150.113999999958</v>
      </c>
      <c r="E24" s="9" t="s">
        <v>73</v>
      </c>
      <c r="F24" s="59" t="s">
        <v>37</v>
      </c>
      <c r="G24" s="59"/>
      <c r="H24" s="10">
        <f>H10*$M$22/100*$M$23/100*$M$24/100*1.2</f>
        <v>0</v>
      </c>
      <c r="I24" s="10">
        <f t="shared" ref="I24:K24" si="12">I10*$M$22/100*$M$23/100*$M$24/100*1.2</f>
        <v>0</v>
      </c>
      <c r="J24" s="10">
        <f t="shared" si="10"/>
        <v>9855.1869873545074</v>
      </c>
      <c r="K24" s="10">
        <f t="shared" si="12"/>
        <v>0</v>
      </c>
      <c r="L24" s="10">
        <f t="shared" si="11"/>
        <v>9855.1869873545074</v>
      </c>
      <c r="M24" s="20">
        <v>104.4</v>
      </c>
    </row>
    <row r="25" spans="1:15" x14ac:dyDescent="0.25">
      <c r="A25" s="41">
        <v>2.1</v>
      </c>
      <c r="B25" s="50" t="s">
        <v>3</v>
      </c>
      <c r="C25" s="51">
        <f>C22*20%</f>
        <v>9691.6856666666608</v>
      </c>
      <c r="E25" s="9" t="s">
        <v>74</v>
      </c>
      <c r="F25" s="59" t="s">
        <v>38</v>
      </c>
      <c r="G25" s="59"/>
      <c r="H25" s="10">
        <f>H11*$M$22/100*$M$23/100*$M$24/100*$M$25/100*1.2</f>
        <v>0</v>
      </c>
      <c r="I25" s="10">
        <f t="shared" ref="I25:K25" si="13">I11*$M$22/100*$M$23/100*$M$24/100*$M$25/100*1.2</f>
        <v>0</v>
      </c>
      <c r="J25" s="10">
        <f t="shared" si="10"/>
        <v>6893.7177888114466</v>
      </c>
      <c r="K25" s="10">
        <f t="shared" si="13"/>
        <v>0</v>
      </c>
      <c r="L25" s="10">
        <f>SUM(H25:K25)</f>
        <v>6893.7177888114466</v>
      </c>
      <c r="M25" s="20">
        <v>104.4</v>
      </c>
      <c r="N25" s="17"/>
    </row>
    <row r="26" spans="1:15" ht="24" customHeight="1" x14ac:dyDescent="0.25">
      <c r="A26" s="41">
        <v>3</v>
      </c>
      <c r="B26" s="50" t="s">
        <v>42</v>
      </c>
      <c r="C26" s="51">
        <f>L30</f>
        <v>66402.386201991554</v>
      </c>
      <c r="E26" s="9" t="s">
        <v>75</v>
      </c>
      <c r="F26" s="59" t="s">
        <v>45</v>
      </c>
      <c r="G26" s="59"/>
      <c r="H26" s="10">
        <f>H12*$M$22/100*$M$23/100*$M$24/100*$M$25/100*$M$26/100*1.2</f>
        <v>0</v>
      </c>
      <c r="I26" s="10">
        <f t="shared" ref="I26:K26" si="14">I12*$M$22/100*$M$23/100*$M$24/100*$M$25/100*$M$26/100*1.2</f>
        <v>0</v>
      </c>
      <c r="J26" s="10">
        <f t="shared" si="10"/>
        <v>6027.2690347103999</v>
      </c>
      <c r="K26" s="10">
        <f t="shared" si="14"/>
        <v>0</v>
      </c>
      <c r="L26" s="10">
        <f t="shared" si="11"/>
        <v>6027.2690347103999</v>
      </c>
      <c r="M26" s="20">
        <v>104.4</v>
      </c>
    </row>
    <row r="27" spans="1:15" ht="15" customHeight="1" x14ac:dyDescent="0.25">
      <c r="E27" s="9" t="s">
        <v>76</v>
      </c>
      <c r="F27" s="76" t="s">
        <v>40</v>
      </c>
      <c r="G27" s="76"/>
      <c r="H27" s="19">
        <f>SUM(H22:H26)</f>
        <v>0</v>
      </c>
      <c r="I27" s="19">
        <f t="shared" ref="I27:K27" si="15">SUM(I22:I26)</f>
        <v>0</v>
      </c>
      <c r="J27" s="19">
        <f t="shared" si="15"/>
        <v>66402.386201991554</v>
      </c>
      <c r="K27" s="19">
        <f t="shared" si="15"/>
        <v>0</v>
      </c>
      <c r="L27" s="19">
        <f>SUM(L22:L26)</f>
        <v>66402.386201991554</v>
      </c>
      <c r="M27" s="21"/>
    </row>
    <row r="28" spans="1:15" ht="15" customHeight="1" x14ac:dyDescent="0.25">
      <c r="E28" s="7" t="s">
        <v>77</v>
      </c>
      <c r="F28" s="77" t="s">
        <v>58</v>
      </c>
      <c r="G28" s="77"/>
      <c r="H28" s="77"/>
      <c r="I28" s="77"/>
      <c r="J28" s="77"/>
      <c r="K28" s="77"/>
      <c r="L28" s="77"/>
      <c r="M28" s="77"/>
    </row>
    <row r="29" spans="1:15" ht="15" customHeight="1" x14ac:dyDescent="0.25">
      <c r="A29" s="43"/>
      <c r="C29" s="43"/>
      <c r="E29" s="22" t="s">
        <v>33</v>
      </c>
      <c r="F29" s="75" t="s">
        <v>43</v>
      </c>
      <c r="G29" s="75"/>
      <c r="H29" s="23">
        <f>H20</f>
        <v>0</v>
      </c>
      <c r="I29" s="23">
        <f t="shared" ref="I29" si="16">I20</f>
        <v>0</v>
      </c>
      <c r="J29" s="23">
        <f>J20</f>
        <v>55335.321834992952</v>
      </c>
      <c r="K29" s="23">
        <f>K20</f>
        <v>0</v>
      </c>
      <c r="L29" s="23">
        <f>L20</f>
        <v>55335.321834992952</v>
      </c>
      <c r="M29" s="11" t="s">
        <v>30</v>
      </c>
    </row>
    <row r="30" spans="1:15" ht="25.5" customHeight="1" x14ac:dyDescent="0.25">
      <c r="A30" s="74" t="s">
        <v>11</v>
      </c>
      <c r="B30" s="74"/>
      <c r="C30" s="74"/>
      <c r="E30" s="22" t="s">
        <v>34</v>
      </c>
      <c r="F30" s="75" t="s">
        <v>44</v>
      </c>
      <c r="G30" s="75"/>
      <c r="H30" s="23">
        <f>H27</f>
        <v>0</v>
      </c>
      <c r="I30" s="23">
        <f t="shared" ref="I30:K30" si="17">I27</f>
        <v>0</v>
      </c>
      <c r="J30" s="23">
        <f t="shared" si="17"/>
        <v>66402.386201991554</v>
      </c>
      <c r="K30" s="23">
        <f t="shared" si="17"/>
        <v>0</v>
      </c>
      <c r="L30" s="26">
        <f>SUM(H30:K30)</f>
        <v>66402.386201991554</v>
      </c>
      <c r="M30" s="11" t="s">
        <v>30</v>
      </c>
    </row>
    <row r="31" spans="1:15" ht="15" customHeight="1" x14ac:dyDescent="0.25">
      <c r="O31" s="1">
        <v>1.0696887479999999</v>
      </c>
    </row>
    <row r="32" spans="1:15" ht="15" customHeight="1" x14ac:dyDescent="0.25">
      <c r="O32" s="1">
        <v>1.0527260919999999</v>
      </c>
    </row>
    <row r="33" spans="15:19" ht="15" customHeight="1" x14ac:dyDescent="0.25">
      <c r="O33" s="13">
        <v>1.04762</v>
      </c>
    </row>
    <row r="34" spans="15:19" ht="15" customHeight="1" x14ac:dyDescent="0.25">
      <c r="O34" s="14">
        <v>1.0458000000000001</v>
      </c>
      <c r="P34" s="16"/>
    </row>
    <row r="35" spans="15:19" ht="15" customHeight="1" x14ac:dyDescent="0.25">
      <c r="O35" s="14">
        <v>1.0458000000000001</v>
      </c>
      <c r="P35" s="16"/>
    </row>
    <row r="36" spans="15:19" ht="15" customHeight="1" x14ac:dyDescent="0.25">
      <c r="O36" s="14">
        <v>1.0458000000000001</v>
      </c>
      <c r="P36" s="16"/>
    </row>
    <row r="37" spans="15:19" ht="15" customHeight="1" x14ac:dyDescent="0.25">
      <c r="O37" s="14"/>
      <c r="P37" s="16"/>
    </row>
    <row r="38" spans="15:19" ht="15" customHeight="1" x14ac:dyDescent="0.25"/>
    <row r="39" spans="15:19" ht="15" customHeight="1" x14ac:dyDescent="0.25"/>
    <row r="40" spans="15:19" ht="14.25" customHeight="1" x14ac:dyDescent="0.25">
      <c r="P40" s="15"/>
      <c r="Q40" s="15"/>
      <c r="R40" s="15"/>
      <c r="S40" s="15"/>
    </row>
    <row r="42" spans="15:19" ht="14.25" customHeight="1" x14ac:dyDescent="0.25"/>
    <row r="44" spans="15:19" ht="14.25" customHeight="1" x14ac:dyDescent="0.25"/>
    <row r="46" spans="15:19" ht="14.25" customHeight="1" x14ac:dyDescent="0.25"/>
    <row r="47" spans="15:19" ht="15" customHeight="1" x14ac:dyDescent="0.25"/>
    <row r="48" spans="15:1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7" ht="14.25" customHeight="1" x14ac:dyDescent="0.25"/>
  </sheetData>
  <mergeCells count="37">
    <mergeCell ref="F16:G16"/>
    <mergeCell ref="F17:G17"/>
    <mergeCell ref="F18:G18"/>
    <mergeCell ref="A30:C30"/>
    <mergeCell ref="F30:G30"/>
    <mergeCell ref="F27:G27"/>
    <mergeCell ref="F29:G29"/>
    <mergeCell ref="F19:G19"/>
    <mergeCell ref="F26:G26"/>
    <mergeCell ref="F20:G20"/>
    <mergeCell ref="F22:G22"/>
    <mergeCell ref="F23:G23"/>
    <mergeCell ref="F25:G25"/>
    <mergeCell ref="F24:G24"/>
    <mergeCell ref="F21:J21"/>
    <mergeCell ref="F28:M28"/>
    <mergeCell ref="F13:G13"/>
    <mergeCell ref="B14:C14"/>
    <mergeCell ref="E1:E2"/>
    <mergeCell ref="F1:G2"/>
    <mergeCell ref="F11:G11"/>
    <mergeCell ref="H1:K1"/>
    <mergeCell ref="L1:L2"/>
    <mergeCell ref="B15:C15"/>
    <mergeCell ref="F15:G15"/>
    <mergeCell ref="M1:M2"/>
    <mergeCell ref="F3:G3"/>
    <mergeCell ref="F7:I7"/>
    <mergeCell ref="F12:G12"/>
    <mergeCell ref="F14:J14"/>
    <mergeCell ref="F4:G4"/>
    <mergeCell ref="F10:G10"/>
    <mergeCell ref="F5:G5"/>
    <mergeCell ref="F6:G6"/>
    <mergeCell ref="F8:G8"/>
    <mergeCell ref="F9:G9"/>
    <mergeCell ref="B12:C12"/>
  </mergeCells>
  <pageMargins left="0.75" right="0.75" top="1" bottom="1" header="0.5" footer="0.5"/>
  <pageSetup paperSize="9" scale="3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'D:\Users\pankovdv\AppData\Local\Microsoft\Windows\INetCache\Content.Outlook\GT7SKLYG\[H_prj_107000_51097 (СЗ).xlsx]исходные данные'!#REF!</xm:f>
          </x14:formula1>
          <xm:sqref>F6:G7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"/>
  <sheetViews>
    <sheetView tabSelected="1" zoomScale="90" zoomScaleNormal="90" workbookViewId="0">
      <selection activeCell="D15" sqref="D15"/>
    </sheetView>
  </sheetViews>
  <sheetFormatPr defaultRowHeight="15" x14ac:dyDescent="0.25"/>
  <cols>
    <col min="1" max="1" width="46.5703125" customWidth="1"/>
    <col min="2" max="2" width="10.5703125" customWidth="1"/>
    <col min="3" max="3" width="8.85546875" customWidth="1"/>
    <col min="4" max="4" width="19.140625" customWidth="1"/>
    <col min="5" max="5" width="13.7109375" customWidth="1"/>
    <col min="6" max="6" width="16.42578125" customWidth="1"/>
    <col min="7" max="7" width="18.85546875" customWidth="1"/>
    <col min="8" max="8" width="20.28515625" customWidth="1"/>
    <col min="9" max="9" width="14.5703125" style="24" customWidth="1"/>
    <col min="10" max="10" width="11" customWidth="1"/>
  </cols>
  <sheetData>
    <row r="1" spans="1:10" ht="48" customHeight="1" x14ac:dyDescent="0.25">
      <c r="A1" s="82" t="s">
        <v>52</v>
      </c>
      <c r="B1" s="82"/>
      <c r="C1" s="82"/>
      <c r="D1" s="82"/>
      <c r="E1" s="82"/>
      <c r="F1" s="82"/>
      <c r="G1" s="82"/>
      <c r="H1" s="82"/>
      <c r="J1" s="2"/>
    </row>
    <row r="2" spans="1:10" ht="23.25" customHeight="1" x14ac:dyDescent="0.25">
      <c r="A2" s="4" t="s">
        <v>48</v>
      </c>
      <c r="B2" s="4"/>
      <c r="C2" s="4"/>
      <c r="D2" s="4"/>
      <c r="E2" s="4"/>
      <c r="F2" s="4"/>
      <c r="G2" s="4"/>
      <c r="H2" s="4"/>
      <c r="J2" s="2"/>
    </row>
    <row r="3" spans="1:10" s="29" customFormat="1" ht="31.5" x14ac:dyDescent="0.25">
      <c r="A3" s="3" t="s">
        <v>13</v>
      </c>
      <c r="B3" s="3" t="s">
        <v>14</v>
      </c>
      <c r="C3" s="3" t="s">
        <v>15</v>
      </c>
      <c r="D3" s="25" t="s">
        <v>50</v>
      </c>
      <c r="E3" s="3" t="s">
        <v>51</v>
      </c>
      <c r="F3" s="3" t="s">
        <v>16</v>
      </c>
      <c r="G3" s="3" t="s">
        <v>49</v>
      </c>
      <c r="H3" s="3" t="s">
        <v>17</v>
      </c>
      <c r="I3" s="28"/>
    </row>
    <row r="4" spans="1:10" s="29" customFormat="1" ht="39" customHeight="1" x14ac:dyDescent="0.25">
      <c r="A4" s="30" t="s">
        <v>53</v>
      </c>
      <c r="B4" s="31" t="s">
        <v>81</v>
      </c>
      <c r="C4" s="31">
        <v>1</v>
      </c>
      <c r="D4" s="32">
        <f>17977418.3333333/1000</f>
        <v>17977.418333333299</v>
      </c>
      <c r="E4" s="33"/>
      <c r="F4" s="33"/>
      <c r="G4" s="34">
        <f t="shared" ref="G4" si="0">C4*D4</f>
        <v>17977.418333333299</v>
      </c>
      <c r="H4" s="83" t="s">
        <v>84</v>
      </c>
      <c r="I4" s="28">
        <v>11416667</v>
      </c>
    </row>
    <row r="5" spans="1:10" s="29" customFormat="1" ht="39" customHeight="1" x14ac:dyDescent="0.25">
      <c r="A5" s="30" t="s">
        <v>54</v>
      </c>
      <c r="B5" s="31" t="s">
        <v>82</v>
      </c>
      <c r="C5" s="31">
        <v>1</v>
      </c>
      <c r="D5" s="32">
        <f>30481010/1000</f>
        <v>30481.01</v>
      </c>
      <c r="E5" s="33"/>
      <c r="F5" s="33"/>
      <c r="G5" s="34">
        <f t="shared" ref="G5" si="1">C5*D5</f>
        <v>30481.01</v>
      </c>
      <c r="H5" s="83" t="s">
        <v>84</v>
      </c>
      <c r="I5" s="28">
        <v>11416667</v>
      </c>
    </row>
    <row r="6" spans="1:10" s="29" customFormat="1" ht="15.75" x14ac:dyDescent="0.25">
      <c r="A6" s="27" t="s">
        <v>78</v>
      </c>
      <c r="B6" s="35"/>
      <c r="C6" s="36"/>
      <c r="D6" s="36"/>
      <c r="E6" s="36"/>
      <c r="F6" s="36"/>
      <c r="G6" s="84">
        <f>SUM(G4:G5)</f>
        <v>48458.428333333301</v>
      </c>
      <c r="H6" s="35"/>
      <c r="I6" s="28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Цена МАТ и ОБ по ТКП</vt:lpstr>
      <vt:lpstr>'Сводка затрат'!Область_печати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Лиморенко Анна Игоревна</cp:lastModifiedBy>
  <cp:lastPrinted>2022-01-25T02:38:45Z</cp:lastPrinted>
  <dcterms:created xsi:type="dcterms:W3CDTF">2021-08-10T06:39:51Z</dcterms:created>
  <dcterms:modified xsi:type="dcterms:W3CDTF">2025-11-03T03:18:38Z</dcterms:modified>
</cp:coreProperties>
</file>